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kumenty\Benefit IT\_zákazníci\"/>
    </mc:Choice>
  </mc:AlternateContent>
  <bookViews>
    <workbookView xWindow="240" yWindow="195" windowWidth="20115" windowHeight="7875"/>
  </bookViews>
  <sheets>
    <sheet name="Přehled" sheetId="1" r:id="rId1"/>
    <sheet name="Kalkulace" sheetId="2" r:id="rId2"/>
    <sheet name="Výpočty" sheetId="3" r:id="rId3"/>
  </sheets>
  <calcPr calcId="152511" concurrentCalc="0"/>
</workbook>
</file>

<file path=xl/calcChain.xml><?xml version="1.0" encoding="utf-8"?>
<calcChain xmlns="http://schemas.openxmlformats.org/spreadsheetml/2006/main">
  <c r="F22" i="2" l="1"/>
  <c r="C2" i="1"/>
  <c r="E26" i="3"/>
  <c r="E25" i="3"/>
  <c r="E24" i="3"/>
  <c r="D24" i="3"/>
  <c r="D25" i="3"/>
  <c r="D26" i="3"/>
  <c r="C24" i="3"/>
  <c r="C26" i="3"/>
  <c r="C25" i="3"/>
  <c r="G15" i="3"/>
  <c r="G16" i="3"/>
  <c r="G17" i="3"/>
  <c r="G18" i="3"/>
  <c r="G14" i="3"/>
  <c r="G8" i="3"/>
  <c r="J8" i="3"/>
  <c r="G9" i="3"/>
  <c r="J9" i="3"/>
  <c r="G10" i="3"/>
  <c r="J10" i="3"/>
  <c r="G11" i="3"/>
  <c r="J11" i="3"/>
  <c r="G7" i="3"/>
  <c r="J7" i="3"/>
  <c r="E14" i="3"/>
  <c r="O15" i="3"/>
  <c r="Q14" i="3"/>
  <c r="S4" i="3"/>
  <c r="S5" i="3"/>
  <c r="U3" i="3"/>
  <c r="R5" i="3"/>
  <c r="R4" i="3"/>
  <c r="A20" i="3"/>
  <c r="B19" i="3"/>
  <c r="F15" i="3"/>
  <c r="E15" i="3"/>
  <c r="F16" i="3"/>
  <c r="E16" i="3"/>
  <c r="F17" i="3"/>
  <c r="E17" i="3"/>
  <c r="F18" i="3"/>
  <c r="E18" i="3"/>
  <c r="F14" i="3"/>
  <c r="D22" i="2"/>
  <c r="G24" i="2"/>
  <c r="G25" i="2"/>
  <c r="G26" i="2"/>
  <c r="G23" i="2"/>
  <c r="G22" i="2"/>
  <c r="E14" i="2"/>
  <c r="E15" i="2"/>
  <c r="E16" i="2"/>
  <c r="E13" i="2"/>
  <c r="E12" i="2"/>
  <c r="E5" i="3"/>
  <c r="E6" i="3"/>
  <c r="E4" i="3"/>
  <c r="B12" i="2"/>
  <c r="G19" i="3"/>
  <c r="B20" i="3"/>
  <c r="C31" i="2"/>
  <c r="D13" i="1"/>
  <c r="E19" i="3"/>
  <c r="E20" i="3"/>
  <c r="G20" i="3"/>
  <c r="F26" i="3"/>
  <c r="F31" i="2"/>
  <c r="F25" i="3"/>
  <c r="F24" i="3"/>
  <c r="C37" i="2"/>
  <c r="F37" i="2"/>
  <c r="D9" i="1"/>
  <c r="C32" i="2"/>
  <c r="C38" i="2"/>
  <c r="F13" i="1"/>
  <c r="F40" i="2"/>
  <c r="H13" i="1"/>
  <c r="F41" i="2"/>
  <c r="H9" i="1"/>
</calcChain>
</file>

<file path=xl/sharedStrings.xml><?xml version="1.0" encoding="utf-8"?>
<sst xmlns="http://schemas.openxmlformats.org/spreadsheetml/2006/main" count="81" uniqueCount="64">
  <si>
    <t>Společnost:</t>
  </si>
  <si>
    <t>Údaje o současných cenách:</t>
  </si>
  <si>
    <t>A4</t>
  </si>
  <si>
    <r>
      <t>dm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</si>
  <si>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</si>
  <si>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Cena za barevný výtisk</t>
  </si>
  <si>
    <t>Cena za černobílý výtisk A4</t>
  </si>
  <si>
    <t>Cena za černobílý výtisk dm2</t>
  </si>
  <si>
    <t>Cena za černobílý výtisk m2</t>
  </si>
  <si>
    <t>Cena za černobílý výtisk šířka 914</t>
  </si>
  <si>
    <t>Cena za černobílý výtisk šířka 841</t>
  </si>
  <si>
    <t>Cena za černobílý výtisk šířka 594</t>
  </si>
  <si>
    <t>Cena za černobílý výtisk šířka 420</t>
  </si>
  <si>
    <t>Cena za černobílý výtisk šířka 297</t>
  </si>
  <si>
    <t>Barevné tisky účtujete v:</t>
  </si>
  <si>
    <t>Černobílé tisky účtujete v:</t>
  </si>
  <si>
    <t>Počet paré:</t>
  </si>
  <si>
    <t>Počet barevných jednotek:</t>
  </si>
  <si>
    <t>Počet černobílých jednotek:</t>
  </si>
  <si>
    <t>běžné cm 914</t>
  </si>
  <si>
    <t>běžné cm 841</t>
  </si>
  <si>
    <t>běžné cm 594</t>
  </si>
  <si>
    <t>běžné cm 420</t>
  </si>
  <si>
    <t>běžné cm 297</t>
  </si>
  <si>
    <t>Barva:</t>
  </si>
  <si>
    <t>ČB:</t>
  </si>
  <si>
    <t>Cena u současného dodavatele:</t>
  </si>
  <si>
    <t>Barevné tisky</t>
  </si>
  <si>
    <t>Černobílé tisky:</t>
  </si>
  <si>
    <t>Cena celkem:</t>
  </si>
  <si>
    <t>Cena u Benefit Print:</t>
  </si>
  <si>
    <t>A4 - &gt; DM</t>
  </si>
  <si>
    <t>A4 - &gt; A4</t>
  </si>
  <si>
    <t>A4 - &gt; M</t>
  </si>
  <si>
    <t>Koeficient</t>
  </si>
  <si>
    <t>dm</t>
  </si>
  <si>
    <t>m</t>
  </si>
  <si>
    <t>DM -&gt; A4</t>
  </si>
  <si>
    <t>M -&gt; A4</t>
  </si>
  <si>
    <t>M -&gt; DM</t>
  </si>
  <si>
    <t>A4 -&gt; CM</t>
  </si>
  <si>
    <t>CM -&gt; A4</t>
  </si>
  <si>
    <t>DM</t>
  </si>
  <si>
    <t>M</t>
  </si>
  <si>
    <t>CM</t>
  </si>
  <si>
    <t>x</t>
  </si>
  <si>
    <t>BCM</t>
  </si>
  <si>
    <t>Formátů A4</t>
  </si>
  <si>
    <t>Přepočtená cena:</t>
  </si>
  <si>
    <t>Z A4</t>
  </si>
  <si>
    <r>
      <t>Z DM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</si>
  <si>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Z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</si>
  <si>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Z bcm</t>
  </si>
  <si>
    <t>Všechny černobílé tisky přitom mohou být v barvě!!</t>
  </si>
  <si>
    <t>Stávající dodavatel</t>
  </si>
  <si>
    <t>Benefit Print s.r.o.</t>
  </si>
  <si>
    <t>Úspora</t>
  </si>
  <si>
    <t>Černobílý tisk</t>
  </si>
  <si>
    <t>Barevný tisk</t>
  </si>
  <si>
    <t>Údaje o Vašich současných cenách:</t>
  </si>
  <si>
    <t>Údaje o Vašem projektu:</t>
  </si>
  <si>
    <t>Projekce Projektant s.r.o.</t>
  </si>
  <si>
    <t>Ušetříte celkem:</t>
  </si>
  <si>
    <t>to 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</si>
</sst>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A33675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u/>
      <sz val="14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367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44" fontId="3" fillId="0" borderId="0" xfId="1" applyFont="1" applyFill="1" applyBorder="1"/>
    <xf numFmtId="44" fontId="0" fillId="0" borderId="0" xfId="1" applyFont="1"/>
    <xf numFmtId="44" fontId="0" fillId="0" borderId="0" xfId="0" applyNumberFormat="1"/>
    <xf numFmtId="0" fontId="0" fillId="0" borderId="2" xfId="0" applyFill="1" applyBorder="1"/>
    <xf numFmtId="0" fontId="3" fillId="0" borderId="3" xfId="0" applyFont="1" applyFill="1" applyBorder="1"/>
    <xf numFmtId="44" fontId="3" fillId="0" borderId="3" xfId="1" applyFont="1" applyFill="1" applyBorder="1"/>
    <xf numFmtId="0" fontId="0" fillId="0" borderId="3" xfId="0" applyFill="1" applyBorder="1"/>
    <xf numFmtId="0" fontId="3" fillId="0" borderId="3" xfId="0" applyFont="1" applyFill="1" applyBorder="1" applyAlignment="1">
      <alignment horizontal="right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Border="1"/>
    <xf numFmtId="0" fontId="0" fillId="0" borderId="7" xfId="0" applyFill="1" applyBorder="1"/>
    <xf numFmtId="0" fontId="0" fillId="0" borderId="8" xfId="0" applyBorder="1"/>
    <xf numFmtId="44" fontId="3" fillId="0" borderId="8" xfId="1" applyFont="1" applyFill="1" applyBorder="1"/>
    <xf numFmtId="0" fontId="0" fillId="0" borderId="9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1" applyFont="1" applyBorder="1"/>
    <xf numFmtId="44" fontId="0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44" fontId="0" fillId="0" borderId="0" xfId="1" applyFont="1" applyFill="1" applyAlignment="1">
      <alignment horizontal="left"/>
    </xf>
    <xf numFmtId="44" fontId="0" fillId="0" borderId="0" xfId="1" applyFont="1" applyFill="1" applyBorder="1" applyAlignment="1">
      <alignment horizontal="left"/>
    </xf>
    <xf numFmtId="2" fontId="0" fillId="0" borderId="0" xfId="0" applyNumberFormat="1"/>
    <xf numFmtId="2" fontId="5" fillId="0" borderId="0" xfId="0" applyNumberFormat="1" applyFont="1"/>
    <xf numFmtId="44" fontId="5" fillId="0" borderId="0" xfId="1" applyFont="1" applyBorder="1"/>
    <xf numFmtId="44" fontId="0" fillId="2" borderId="0" xfId="1" applyFont="1" applyFill="1"/>
    <xf numFmtId="44" fontId="0" fillId="0" borderId="0" xfId="1" applyFont="1" applyFill="1"/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0" fillId="3" borderId="1" xfId="0" applyFill="1" applyBorder="1"/>
    <xf numFmtId="0" fontId="6" fillId="3" borderId="0" xfId="0" applyFont="1" applyFill="1"/>
    <xf numFmtId="44" fontId="3" fillId="3" borderId="0" xfId="1" applyFont="1" applyFill="1"/>
    <xf numFmtId="44" fontId="3" fillId="3" borderId="0" xfId="0" applyNumberFormat="1" applyFont="1" applyFill="1"/>
    <xf numFmtId="0" fontId="7" fillId="3" borderId="0" xfId="0" applyFont="1" applyFill="1"/>
    <xf numFmtId="44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5" fillId="3" borderId="0" xfId="0" applyFont="1" applyFill="1"/>
    <xf numFmtId="0" fontId="4" fillId="3" borderId="1" xfId="0" applyFont="1" applyFill="1" applyBorder="1"/>
    <xf numFmtId="44" fontId="9" fillId="3" borderId="0" xfId="1" applyFont="1" applyFill="1"/>
    <xf numFmtId="44" fontId="11" fillId="3" borderId="0" xfId="0" applyNumberFormat="1" applyFont="1" applyFill="1"/>
    <xf numFmtId="10" fontId="10" fillId="3" borderId="0" xfId="2" applyNumberFormat="1" applyFont="1" applyFill="1"/>
    <xf numFmtId="0" fontId="10" fillId="3" borderId="0" xfId="0" applyFont="1" applyFill="1" applyAlignment="1">
      <alignment horizontal="right"/>
    </xf>
    <xf numFmtId="0" fontId="8" fillId="3" borderId="0" xfId="0" applyFont="1" applyFill="1"/>
    <xf numFmtId="0" fontId="9" fillId="3" borderId="0" xfId="0" applyFont="1" applyFill="1"/>
    <xf numFmtId="0" fontId="5" fillId="3" borderId="0" xfId="0" applyFont="1" applyFill="1" applyAlignment="1">
      <alignment wrapText="1"/>
    </xf>
    <xf numFmtId="0" fontId="0" fillId="2" borderId="0" xfId="0" applyFill="1"/>
    <xf numFmtId="0" fontId="12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44" fontId="11" fillId="3" borderId="0" xfId="1" applyFont="1" applyFill="1"/>
    <xf numFmtId="10" fontId="11" fillId="3" borderId="0" xfId="1" applyNumberFormat="1" applyFont="1" applyFill="1"/>
    <xf numFmtId="0" fontId="14" fillId="3" borderId="0" xfId="0" applyFont="1" applyFill="1"/>
    <xf numFmtId="0" fontId="10" fillId="3" borderId="10" xfId="0" applyFont="1" applyFill="1" applyBorder="1"/>
    <xf numFmtId="44" fontId="10" fillId="3" borderId="0" xfId="0" applyNumberFormat="1" applyFont="1" applyFill="1"/>
    <xf numFmtId="0" fontId="4" fillId="2" borderId="0" xfId="0" applyFont="1" applyFill="1" applyAlignment="1">
      <alignment horizontal="left"/>
    </xf>
    <xf numFmtId="44" fontId="10" fillId="3" borderId="10" xfId="0" applyNumberFormat="1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</cellXfs>
  <cellStyles count="3">
    <cellStyle name="Měna" xfId="1" builtinId="4"/>
    <cellStyle name="Normální" xfId="0" builtinId="0"/>
    <cellStyle name="Procenta" xfId="2" builtinId="5"/>
  </cellStyles>
  <dxfs count="2">
    <dxf>
      <font>
        <b val="0"/>
        <i val="0"/>
        <color theme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33675"/>
      <color rgb="FFF49AF6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C$10" fmlaRange="Výpočty!$D$4:$D$6" sel="1" val="0"/>
</file>

<file path=xl/ctrlProps/ctrlProp3.xml><?xml version="1.0" encoding="utf-8"?>
<formControlPr xmlns="http://schemas.microsoft.com/office/spreadsheetml/2009/9/main" objectType="Drop" dropStyle="combo" dx="16" fmlaLink="$F$10" fmlaRange="Výpočty!$H$4:$H$7" sel="1" val="0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476250</xdr:colOff>
      <xdr:row>4</xdr:row>
      <xdr:rowOff>142875</xdr:rowOff>
    </xdr:from>
    <xdr:to>
      <xdr:col>4</xdr:col>
      <xdr:colOff>179775</xdr:colOff>
      <xdr:row>16</xdr:row>
      <xdr:rowOff>55950</xdr:rowOff>
    </xdr:to>
    <xdr:sp macro="" textlink="">
      <xdr:nvSpPr>
        <xdr:cNvPr id="7" name="Ovál 6"/>
        <xdr:cNvSpPr>
          <a:spLocks noChangeAspect="1"/>
        </xdr:cNvSpPr>
      </xdr:nvSpPr>
      <xdr:spPr>
        <a:xfrm>
          <a:off x="2105025" y="1181100"/>
          <a:ext cx="1980000" cy="1980000"/>
        </a:xfrm>
        <a:prstGeom prst="ellipse">
          <a:avLst/>
        </a:prstGeom>
        <a:noFill/>
        <a:ln w="381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absolute">
    <xdr:from>
      <xdr:col>4</xdr:col>
      <xdr:colOff>457200</xdr:colOff>
      <xdr:row>4</xdr:row>
      <xdr:rowOff>142875</xdr:rowOff>
    </xdr:from>
    <xdr:to>
      <xdr:col>6</xdr:col>
      <xdr:colOff>160725</xdr:colOff>
      <xdr:row>16</xdr:row>
      <xdr:rowOff>55950</xdr:rowOff>
    </xdr:to>
    <xdr:sp macro="" textlink="">
      <xdr:nvSpPr>
        <xdr:cNvPr id="8" name="Ovál 7"/>
        <xdr:cNvSpPr>
          <a:spLocks noChangeAspect="1"/>
        </xdr:cNvSpPr>
      </xdr:nvSpPr>
      <xdr:spPr>
        <a:xfrm>
          <a:off x="4362450" y="1181100"/>
          <a:ext cx="1980000" cy="1980000"/>
        </a:xfrm>
        <a:prstGeom prst="ellipse">
          <a:avLst/>
        </a:prstGeom>
        <a:noFill/>
        <a:ln w="38100">
          <a:solidFill>
            <a:schemeClr val="bg1"/>
          </a:solidFill>
        </a:ln>
        <a:scene3d>
          <a:camera prst="orthographicFront"/>
          <a:lightRig rig="threePt" dir="t">
            <a:rot lat="0" lon="0" rev="0"/>
          </a:lightRig>
        </a:scene3d>
        <a:sp3d prstMaterial="matte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absolute">
    <xdr:from>
      <xdr:col>6</xdr:col>
      <xdr:colOff>466725</xdr:colOff>
      <xdr:row>4</xdr:row>
      <xdr:rowOff>142875</xdr:rowOff>
    </xdr:from>
    <xdr:to>
      <xdr:col>8</xdr:col>
      <xdr:colOff>170250</xdr:colOff>
      <xdr:row>16</xdr:row>
      <xdr:rowOff>55950</xdr:rowOff>
    </xdr:to>
    <xdr:sp macro="" textlink="">
      <xdr:nvSpPr>
        <xdr:cNvPr id="9" name="Ovál 8"/>
        <xdr:cNvSpPr>
          <a:spLocks noChangeAspect="1"/>
        </xdr:cNvSpPr>
      </xdr:nvSpPr>
      <xdr:spPr>
        <a:xfrm>
          <a:off x="6648450" y="1181100"/>
          <a:ext cx="1980000" cy="1980000"/>
        </a:xfrm>
        <a:prstGeom prst="ellipse">
          <a:avLst/>
        </a:prstGeom>
        <a:noFill/>
        <a:ln w="381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</xdr:colOff>
          <xdr:row>17</xdr:row>
          <xdr:rowOff>123825</xdr:rowOff>
        </xdr:from>
        <xdr:to>
          <xdr:col>10</xdr:col>
          <xdr:colOff>361950</xdr:colOff>
          <xdr:row>19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Na</a:t>
              </a:r>
            </a:p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kalkulaci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371475</xdr:colOff>
      <xdr:row>0</xdr:row>
      <xdr:rowOff>171449</xdr:rowOff>
    </xdr:from>
    <xdr:to>
      <xdr:col>10</xdr:col>
      <xdr:colOff>335738</xdr:colOff>
      <xdr:row>2</xdr:row>
      <xdr:rowOff>58320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171449"/>
          <a:ext cx="1183463" cy="439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228600</xdr:rowOff>
        </xdr:from>
        <xdr:to>
          <xdr:col>3</xdr:col>
          <xdr:colOff>28575</xdr:colOff>
          <xdr:row>9</xdr:row>
          <xdr:rowOff>228600</xdr:rowOff>
        </xdr:to>
        <xdr:sp macro="" textlink="">
          <xdr:nvSpPr>
            <xdr:cNvPr id="2049" name="Drop Down 1" descr="vyberte systém, jak jsou dnes Vaše barevné výkresy účtovány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228600</xdr:rowOff>
        </xdr:from>
        <xdr:to>
          <xdr:col>6</xdr:col>
          <xdr:colOff>9525</xdr:colOff>
          <xdr:row>9</xdr:row>
          <xdr:rowOff>228600</xdr:rowOff>
        </xdr:to>
        <xdr:sp macro="" textlink="">
          <xdr:nvSpPr>
            <xdr:cNvPr id="2050" name="Drop Down 2" descr="vyberte systém, jak jsou dnes Vaše černobílé výkresy účtovány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1114425</xdr:colOff>
      <xdr:row>0</xdr:row>
      <xdr:rowOff>104775</xdr:rowOff>
    </xdr:from>
    <xdr:to>
      <xdr:col>7</xdr:col>
      <xdr:colOff>59513</xdr:colOff>
      <xdr:row>2</xdr:row>
      <xdr:rowOff>163096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104775"/>
          <a:ext cx="1183463" cy="4393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190500</xdr:colOff>
          <xdr:row>40</xdr:row>
          <xdr:rowOff>57150</xdr:rowOff>
        </xdr:from>
        <xdr:to>
          <xdr:col>6</xdr:col>
          <xdr:colOff>923925</xdr:colOff>
          <xdr:row>41</xdr:row>
          <xdr:rowOff>200025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Na </a:t>
              </a:r>
            </a:p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přehled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K21"/>
  <sheetViews>
    <sheetView tabSelected="1" workbookViewId="0">
      <selection activeCell="H13" sqref="H13"/>
    </sheetView>
  </sheetViews>
  <sheetFormatPr defaultRowHeight="15" x14ac:dyDescent="0.25"/>
  <cols>
    <col min="2" max="2" width="15.28515625" customWidth="1"/>
    <col min="4" max="4" width="25" customWidth="1"/>
    <col min="6" max="6" width="25" customWidth="1"/>
    <col min="8" max="8" width="25" customWidth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45">
      <c r="A2" s="38"/>
      <c r="B2" s="38"/>
      <c r="C2" s="59" t="str">
        <f>CONCATENATE("Kalkulace pro společnost: ",Kalkulace!C5)</f>
        <v>Kalkulace pro společnost: Projekce Projektant s.r.o.</v>
      </c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3.25" x14ac:dyDescent="0.25">
      <c r="A4" s="38"/>
      <c r="B4" s="38"/>
      <c r="C4" s="38"/>
      <c r="D4" s="61" t="s">
        <v>54</v>
      </c>
      <c r="E4" s="38"/>
      <c r="F4" s="61" t="s">
        <v>55</v>
      </c>
      <c r="G4" s="38"/>
      <c r="H4" s="62" t="s">
        <v>56</v>
      </c>
      <c r="I4" s="38"/>
      <c r="J4" s="38"/>
      <c r="K4" s="38"/>
    </row>
    <row r="5" spans="1:11" x14ac:dyDescent="0.25">
      <c r="A5" s="38"/>
      <c r="B5" s="38"/>
      <c r="C5" s="38"/>
      <c r="D5" s="57"/>
      <c r="E5" s="38"/>
      <c r="F5" s="57"/>
      <c r="G5" s="38"/>
      <c r="H5" s="38"/>
      <c r="I5" s="38"/>
      <c r="J5" s="38"/>
      <c r="K5" s="38"/>
    </row>
    <row r="6" spans="1:11" x14ac:dyDescent="0.25">
      <c r="A6" s="38"/>
      <c r="B6" s="38"/>
      <c r="C6" s="38"/>
      <c r="D6" s="57"/>
      <c r="E6" s="38"/>
      <c r="F6" s="57"/>
      <c r="G6" s="38"/>
      <c r="H6" s="38"/>
      <c r="I6" s="38"/>
      <c r="J6" s="38"/>
      <c r="K6" s="38"/>
    </row>
    <row r="7" spans="1:11" x14ac:dyDescent="0.25">
      <c r="A7" s="38"/>
      <c r="B7" s="38"/>
      <c r="C7" s="38"/>
      <c r="D7" s="57"/>
      <c r="E7" s="38"/>
      <c r="F7" s="57"/>
      <c r="G7" s="38"/>
      <c r="H7" s="38"/>
      <c r="I7" s="38"/>
      <c r="J7" s="38"/>
      <c r="K7" s="38"/>
    </row>
    <row r="8" spans="1:11" x14ac:dyDescent="0.25">
      <c r="A8" s="38"/>
      <c r="B8" s="38"/>
      <c r="C8" s="38"/>
      <c r="D8" s="57"/>
      <c r="E8" s="38"/>
      <c r="F8" s="57"/>
      <c r="G8" s="38"/>
      <c r="H8" s="38"/>
      <c r="I8" s="38"/>
      <c r="J8" s="38"/>
      <c r="K8" s="38"/>
    </row>
    <row r="9" spans="1:11" ht="18.75" x14ac:dyDescent="0.3">
      <c r="A9" s="38"/>
      <c r="B9" s="60" t="s">
        <v>57</v>
      </c>
      <c r="C9" s="38"/>
      <c r="D9" s="52">
        <f>Kalkulace!F31</f>
        <v>1875</v>
      </c>
      <c r="E9" s="38"/>
      <c r="F9" s="63">
        <v>0</v>
      </c>
      <c r="G9" s="38"/>
      <c r="H9" s="64">
        <f>Kalkulace!F41</f>
        <v>0.31034482758620685</v>
      </c>
      <c r="I9" s="38"/>
      <c r="J9" s="38"/>
      <c r="K9" s="38"/>
    </row>
    <row r="10" spans="1:11" ht="8.2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.95" customHeight="1" x14ac:dyDescent="0.25">
      <c r="A11" s="38"/>
      <c r="B11" s="38"/>
      <c r="C11" s="38"/>
      <c r="D11" s="58"/>
      <c r="E11" s="38"/>
      <c r="F11" s="58"/>
      <c r="G11" s="38"/>
      <c r="H11" s="58"/>
      <c r="I11" s="38"/>
      <c r="J11" s="38"/>
      <c r="K11" s="38"/>
    </row>
    <row r="12" spans="1:11" ht="8.2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8.75" x14ac:dyDescent="0.3">
      <c r="A13" s="38"/>
      <c r="B13" s="60" t="s">
        <v>58</v>
      </c>
      <c r="C13" s="38"/>
      <c r="D13" s="52">
        <f>Kalkulace!C31</f>
        <v>1750</v>
      </c>
      <c r="E13" s="38"/>
      <c r="F13" s="63">
        <f>Kalkulace!C38</f>
        <v>2500</v>
      </c>
      <c r="G13" s="38"/>
      <c r="H13" s="63">
        <f>Kalkulace!F40</f>
        <v>1125</v>
      </c>
      <c r="I13" s="38"/>
      <c r="J13" s="38"/>
      <c r="K13" s="38"/>
    </row>
    <row r="14" spans="1:1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autoFill="0" autoPict="0" macro="[0]!na_Kalkulaci">
                <anchor>
                  <from>
                    <xdr:col>9</xdr:col>
                    <xdr:colOff>9525</xdr:colOff>
                    <xdr:row>17</xdr:row>
                    <xdr:rowOff>123825</xdr:rowOff>
                  </from>
                  <to>
                    <xdr:col>10</xdr:col>
                    <xdr:colOff>361950</xdr:colOff>
                    <xdr:row>19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2466" divId="Ceník Vortex 4200_2466" sourceType="sheet" destinationFile="C:\Dokumenty\Benefit IT\_zákazníci\__web\web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H43"/>
  <sheetViews>
    <sheetView topLeftCell="A28" zoomScaleNormal="100" zoomScaleSheetLayoutView="130" workbookViewId="0">
      <selection activeCell="F22" sqref="F22"/>
    </sheetView>
  </sheetViews>
  <sheetFormatPr defaultRowHeight="15" x14ac:dyDescent="0.25"/>
  <cols>
    <col min="1" max="1" width="5.140625" customWidth="1"/>
    <col min="2" max="2" width="32.7109375" customWidth="1"/>
    <col min="3" max="3" width="18.85546875" customWidth="1"/>
    <col min="4" max="4" width="6.7109375" customWidth="1"/>
    <col min="5" max="5" width="33.5703125" bestFit="1" customWidth="1"/>
    <col min="6" max="6" width="19.42578125" customWidth="1"/>
    <col min="7" max="7" width="14.140625" customWidth="1"/>
    <col min="8" max="8" width="5.140625" customWidth="1"/>
  </cols>
  <sheetData>
    <row r="1" spans="1:8" x14ac:dyDescent="0.25">
      <c r="A1" s="38"/>
      <c r="B1" s="38"/>
      <c r="C1" s="38"/>
      <c r="D1" s="38"/>
      <c r="E1" s="38"/>
      <c r="F1" s="38"/>
      <c r="G1" s="38"/>
      <c r="H1" s="38"/>
    </row>
    <row r="2" spans="1:8" x14ac:dyDescent="0.25">
      <c r="A2" s="38"/>
      <c r="B2" s="38"/>
      <c r="C2" s="38"/>
      <c r="D2" s="38"/>
      <c r="E2" s="38"/>
      <c r="F2" s="38"/>
      <c r="G2" s="38"/>
      <c r="H2" s="38"/>
    </row>
    <row r="3" spans="1:8" x14ac:dyDescent="0.25">
      <c r="A3" s="38"/>
      <c r="B3" s="38"/>
      <c r="C3" s="38"/>
      <c r="D3" s="38"/>
      <c r="E3" s="38"/>
      <c r="F3" s="38"/>
      <c r="G3" s="38"/>
      <c r="H3" s="38"/>
    </row>
    <row r="4" spans="1:8" x14ac:dyDescent="0.25">
      <c r="A4" s="38"/>
      <c r="B4" s="38"/>
      <c r="C4" s="38"/>
      <c r="D4" s="38"/>
      <c r="E4" s="38"/>
      <c r="F4" s="38"/>
      <c r="G4" s="38"/>
      <c r="H4" s="38"/>
    </row>
    <row r="5" spans="1:8" ht="18.75" x14ac:dyDescent="0.3">
      <c r="A5" s="38"/>
      <c r="B5" s="60" t="s">
        <v>0</v>
      </c>
      <c r="C5" s="68" t="s">
        <v>61</v>
      </c>
      <c r="D5" s="68"/>
      <c r="E5" s="68"/>
      <c r="F5" s="68"/>
      <c r="G5" s="68"/>
      <c r="H5" s="38"/>
    </row>
    <row r="6" spans="1:8" x14ac:dyDescent="0.25">
      <c r="A6" s="38"/>
      <c r="B6" s="41"/>
      <c r="C6" s="41"/>
      <c r="D6" s="41"/>
      <c r="E6" s="41"/>
      <c r="F6" s="41"/>
      <c r="G6" s="41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ht="18.75" x14ac:dyDescent="0.3">
      <c r="A8" s="38"/>
      <c r="B8" s="65" t="s">
        <v>59</v>
      </c>
      <c r="C8" s="38"/>
      <c r="D8" s="38"/>
      <c r="E8" s="38"/>
      <c r="F8" s="38"/>
      <c r="G8" s="38"/>
      <c r="H8" s="38"/>
    </row>
    <row r="9" spans="1:8" ht="18.75" x14ac:dyDescent="0.3">
      <c r="A9" s="38"/>
      <c r="B9" s="39"/>
      <c r="C9" s="38"/>
      <c r="D9" s="38"/>
      <c r="E9" s="38"/>
      <c r="F9" s="38"/>
      <c r="G9" s="38"/>
      <c r="H9" s="38"/>
    </row>
    <row r="10" spans="1:8" ht="18.75" x14ac:dyDescent="0.3">
      <c r="A10" s="38"/>
      <c r="B10" s="39" t="s">
        <v>14</v>
      </c>
      <c r="C10" s="38">
        <v>1</v>
      </c>
      <c r="D10" s="38"/>
      <c r="E10" s="39" t="s">
        <v>15</v>
      </c>
      <c r="F10" s="38">
        <v>1</v>
      </c>
      <c r="G10" s="38"/>
      <c r="H10" s="38"/>
    </row>
    <row r="11" spans="1:8" ht="18.75" x14ac:dyDescent="0.3">
      <c r="A11" s="38"/>
      <c r="B11" s="39"/>
      <c r="C11" s="38"/>
      <c r="D11" s="38"/>
      <c r="E11" s="39"/>
      <c r="F11" s="38"/>
      <c r="G11" s="38"/>
      <c r="H11" s="38"/>
    </row>
    <row r="12" spans="1:8" x14ac:dyDescent="0.25">
      <c r="A12" s="38"/>
      <c r="B12" s="49" t="str">
        <f>VLOOKUP(C10,Výpočty!A4:E6,5)</f>
        <v>Cena za barevný výtisk A4</v>
      </c>
      <c r="C12" s="36">
        <v>7</v>
      </c>
      <c r="D12" s="38"/>
      <c r="E12" s="49" t="str">
        <f>VLOOKUP(F10,Výpočty!A4:H7,6)</f>
        <v>Cena za černobílý výtisk A4</v>
      </c>
      <c r="F12" s="37">
        <v>2.5</v>
      </c>
      <c r="G12" s="38"/>
      <c r="H12" s="38"/>
    </row>
    <row r="13" spans="1:8" ht="18.75" x14ac:dyDescent="0.3">
      <c r="A13" s="38"/>
      <c r="B13" s="39"/>
      <c r="C13" s="38"/>
      <c r="D13" s="38"/>
      <c r="E13" s="49" t="str">
        <f>IF($F$10=4,Výpočty!F8,"")</f>
        <v/>
      </c>
      <c r="F13" s="51">
        <v>0.61</v>
      </c>
      <c r="G13" s="38"/>
      <c r="H13" s="38"/>
    </row>
    <row r="14" spans="1:8" ht="18.75" x14ac:dyDescent="0.3">
      <c r="A14" s="38"/>
      <c r="B14" s="39"/>
      <c r="C14" s="38"/>
      <c r="D14" s="38"/>
      <c r="E14" s="49" t="str">
        <f>IF($F$10=4,Výpočty!F9,"")</f>
        <v/>
      </c>
      <c r="F14" s="51">
        <v>0.5</v>
      </c>
      <c r="G14" s="38"/>
      <c r="H14" s="38"/>
    </row>
    <row r="15" spans="1:8" ht="18.75" x14ac:dyDescent="0.3">
      <c r="A15" s="38"/>
      <c r="B15" s="39"/>
      <c r="C15" s="38"/>
      <c r="D15" s="38"/>
      <c r="E15" s="49" t="str">
        <f>IF($F$10=4,Výpočty!F10,"")</f>
        <v/>
      </c>
      <c r="F15" s="51">
        <v>0.4</v>
      </c>
      <c r="G15" s="38"/>
      <c r="H15" s="38"/>
    </row>
    <row r="16" spans="1:8" ht="18.75" x14ac:dyDescent="0.3">
      <c r="A16" s="38"/>
      <c r="B16" s="39"/>
      <c r="C16" s="38"/>
      <c r="D16" s="38"/>
      <c r="E16" s="49" t="str">
        <f>IF($F$10=4,Výpočty!F11,"")</f>
        <v/>
      </c>
      <c r="F16" s="51">
        <v>0.31</v>
      </c>
      <c r="G16" s="38"/>
      <c r="H16" s="38"/>
    </row>
    <row r="17" spans="1:8" ht="18.75" x14ac:dyDescent="0.3">
      <c r="A17" s="38"/>
      <c r="B17" s="50"/>
      <c r="C17" s="41"/>
      <c r="D17" s="41"/>
      <c r="E17" s="41"/>
      <c r="F17" s="41"/>
      <c r="G17" s="41"/>
      <c r="H17" s="38"/>
    </row>
    <row r="18" spans="1:8" ht="18.75" x14ac:dyDescent="0.3">
      <c r="A18" s="38"/>
      <c r="B18" s="39"/>
      <c r="C18" s="38"/>
      <c r="D18" s="38"/>
      <c r="E18" s="38"/>
      <c r="F18" s="38"/>
      <c r="G18" s="38"/>
      <c r="H18" s="38"/>
    </row>
    <row r="19" spans="1:8" ht="18.75" x14ac:dyDescent="0.3">
      <c r="A19" s="38"/>
      <c r="B19" s="65" t="s">
        <v>60</v>
      </c>
      <c r="C19" s="38"/>
      <c r="D19" s="38"/>
      <c r="E19" s="38"/>
      <c r="F19" s="38"/>
      <c r="G19" s="38"/>
      <c r="H19" s="38"/>
    </row>
    <row r="20" spans="1:8" x14ac:dyDescent="0.25">
      <c r="A20" s="38"/>
      <c r="B20" s="38"/>
      <c r="C20" s="38"/>
      <c r="D20" s="38"/>
      <c r="E20" s="38"/>
      <c r="F20" s="38"/>
      <c r="G20" s="38"/>
      <c r="H20" s="38"/>
    </row>
    <row r="21" spans="1:8" ht="18.75" x14ac:dyDescent="0.3">
      <c r="A21" s="38"/>
      <c r="B21" s="39" t="s">
        <v>16</v>
      </c>
      <c r="C21" s="1">
        <v>10</v>
      </c>
      <c r="D21" s="38"/>
      <c r="E21" s="38"/>
      <c r="F21" s="38"/>
      <c r="G21" s="38"/>
      <c r="H21" s="38"/>
    </row>
    <row r="22" spans="1:8" ht="18.75" x14ac:dyDescent="0.3">
      <c r="A22" s="38"/>
      <c r="B22" s="39" t="s">
        <v>17</v>
      </c>
      <c r="C22" s="1">
        <v>25</v>
      </c>
      <c r="D22" s="48" t="str">
        <f>VLOOKUP(C10,Výpočty!A4:D6,4)</f>
        <v>A4</v>
      </c>
      <c r="E22" s="39" t="s">
        <v>18</v>
      </c>
      <c r="F22" s="1">
        <f>100-C22</f>
        <v>75</v>
      </c>
      <c r="G22" s="38" t="str">
        <f>VLOOKUP(F10,Výpočty!A4:I7,8)</f>
        <v>A4</v>
      </c>
      <c r="H22" s="38"/>
    </row>
    <row r="23" spans="1:8" ht="18.75" x14ac:dyDescent="0.3">
      <c r="A23" s="38"/>
      <c r="B23" s="39"/>
      <c r="C23" s="38"/>
      <c r="D23" s="38"/>
      <c r="E23" s="38"/>
      <c r="F23" s="56">
        <v>200</v>
      </c>
      <c r="G23" s="38" t="str">
        <f>IF($F$10=4,Výpočty!H8,"")</f>
        <v/>
      </c>
      <c r="H23" s="38"/>
    </row>
    <row r="24" spans="1:8" ht="18.75" x14ac:dyDescent="0.3">
      <c r="A24" s="38"/>
      <c r="B24" s="40"/>
      <c r="C24" s="38"/>
      <c r="D24" s="38"/>
      <c r="E24" s="38"/>
      <c r="F24" s="56">
        <v>300</v>
      </c>
      <c r="G24" s="38" t="str">
        <f>IF($F$10=4,Výpočty!H9,"")</f>
        <v/>
      </c>
      <c r="H24" s="38"/>
    </row>
    <row r="25" spans="1:8" ht="18.75" x14ac:dyDescent="0.3">
      <c r="A25" s="38"/>
      <c r="B25" s="40"/>
      <c r="C25" s="38"/>
      <c r="D25" s="38"/>
      <c r="E25" s="38"/>
      <c r="F25" s="56">
        <v>400</v>
      </c>
      <c r="G25" s="38" t="str">
        <f>IF($F$10=4,Výpočty!H10,"")</f>
        <v/>
      </c>
      <c r="H25" s="38"/>
    </row>
    <row r="26" spans="1:8" ht="18.75" x14ac:dyDescent="0.3">
      <c r="A26" s="38"/>
      <c r="B26" s="40"/>
      <c r="C26" s="38"/>
      <c r="D26" s="38"/>
      <c r="E26" s="38"/>
      <c r="F26" s="56">
        <v>500</v>
      </c>
      <c r="G26" s="38" t="str">
        <f>IF($F$10=4,Výpočty!H11,"")</f>
        <v/>
      </c>
      <c r="H26" s="38"/>
    </row>
    <row r="27" spans="1:8" x14ac:dyDescent="0.25">
      <c r="A27" s="38"/>
      <c r="B27" s="41"/>
      <c r="C27" s="41"/>
      <c r="D27" s="41"/>
      <c r="E27" s="41"/>
      <c r="F27" s="41"/>
      <c r="G27" s="41"/>
      <c r="H27" s="38"/>
    </row>
    <row r="28" spans="1:8" x14ac:dyDescent="0.25">
      <c r="A28" s="38"/>
      <c r="B28" s="38"/>
      <c r="C28" s="38"/>
      <c r="D28" s="38"/>
      <c r="E28" s="38"/>
      <c r="F28" s="38"/>
      <c r="G28" s="38"/>
      <c r="H28" s="38"/>
    </row>
    <row r="29" spans="1:8" ht="18.75" x14ac:dyDescent="0.3">
      <c r="A29" s="38"/>
      <c r="B29" s="42" t="s">
        <v>26</v>
      </c>
      <c r="C29" s="38"/>
      <c r="D29" s="38"/>
      <c r="E29" s="38"/>
      <c r="F29" s="38"/>
      <c r="G29" s="38"/>
      <c r="H29" s="38"/>
    </row>
    <row r="30" spans="1:8" x14ac:dyDescent="0.25">
      <c r="A30" s="38"/>
      <c r="B30" s="38"/>
      <c r="C30" s="38"/>
      <c r="D30" s="38"/>
      <c r="E30" s="38"/>
      <c r="F30" s="38"/>
      <c r="G30" s="38"/>
      <c r="H30" s="38"/>
    </row>
    <row r="31" spans="1:8" ht="18.75" x14ac:dyDescent="0.3">
      <c r="A31" s="38"/>
      <c r="B31" s="39" t="s">
        <v>27</v>
      </c>
      <c r="C31" s="43">
        <f>Výpočty!B20</f>
        <v>1750</v>
      </c>
      <c r="D31" s="38"/>
      <c r="E31" s="39" t="s">
        <v>28</v>
      </c>
      <c r="F31" s="44">
        <f>Výpočty!E20</f>
        <v>1875</v>
      </c>
      <c r="G31" s="38"/>
      <c r="H31" s="38"/>
    </row>
    <row r="32" spans="1:8" ht="21" x14ac:dyDescent="0.35">
      <c r="A32" s="38"/>
      <c r="B32" s="66" t="s">
        <v>29</v>
      </c>
      <c r="C32" s="69">
        <f>F31+C31</f>
        <v>3625</v>
      </c>
      <c r="D32" s="70"/>
      <c r="E32" s="70"/>
      <c r="F32" s="70"/>
      <c r="G32" s="38"/>
      <c r="H32" s="38"/>
    </row>
    <row r="33" spans="1:8" ht="21" x14ac:dyDescent="0.35">
      <c r="A33" s="38"/>
      <c r="B33" s="45"/>
      <c r="C33" s="46"/>
      <c r="D33" s="47"/>
      <c r="E33" s="47"/>
      <c r="F33" s="47"/>
      <c r="G33" s="38"/>
      <c r="H33" s="38"/>
    </row>
    <row r="34" spans="1:8" x14ac:dyDescent="0.25">
      <c r="A34" s="38"/>
      <c r="B34" s="38"/>
      <c r="C34" s="38"/>
      <c r="D34" s="38"/>
      <c r="E34" s="38"/>
      <c r="F34" s="38"/>
      <c r="G34" s="38"/>
      <c r="H34" s="38"/>
    </row>
    <row r="35" spans="1:8" ht="18.75" x14ac:dyDescent="0.3">
      <c r="A35" s="38"/>
      <c r="B35" s="42" t="s">
        <v>30</v>
      </c>
      <c r="C35" s="38"/>
      <c r="D35" s="38"/>
      <c r="E35" s="38"/>
      <c r="F35" s="38"/>
      <c r="G35" s="38"/>
      <c r="H35" s="38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ht="18.75" x14ac:dyDescent="0.3">
      <c r="A37" s="38"/>
      <c r="B37" s="39" t="s">
        <v>27</v>
      </c>
      <c r="C37" s="43">
        <f>VLOOKUP(C10,Výpočty!A24:F26,2+F10)*C22*C21</f>
        <v>625</v>
      </c>
      <c r="D37" s="38"/>
      <c r="E37" s="39" t="s">
        <v>28</v>
      </c>
      <c r="F37" s="44">
        <f>F31</f>
        <v>1875</v>
      </c>
      <c r="G37" s="38"/>
      <c r="H37" s="38"/>
    </row>
    <row r="38" spans="1:8" ht="21" x14ac:dyDescent="0.35">
      <c r="A38" s="38"/>
      <c r="B38" s="66" t="s">
        <v>29</v>
      </c>
      <c r="C38" s="69">
        <f>F37+C37</f>
        <v>2500</v>
      </c>
      <c r="D38" s="70"/>
      <c r="E38" s="70"/>
      <c r="F38" s="70"/>
      <c r="G38" s="38"/>
      <c r="H38" s="38"/>
    </row>
    <row r="39" spans="1:8" x14ac:dyDescent="0.25">
      <c r="A39" s="38"/>
      <c r="B39" s="38"/>
      <c r="C39" s="38"/>
      <c r="D39" s="38"/>
      <c r="E39" s="38"/>
      <c r="F39" s="38"/>
      <c r="G39" s="38"/>
      <c r="H39" s="38"/>
    </row>
    <row r="40" spans="1:8" ht="21" x14ac:dyDescent="0.35">
      <c r="A40" s="38"/>
      <c r="B40" s="38"/>
      <c r="C40" s="38"/>
      <c r="D40" s="38"/>
      <c r="E40" s="54" t="s">
        <v>62</v>
      </c>
      <c r="F40" s="67">
        <f>C32-C38</f>
        <v>1125</v>
      </c>
      <c r="G40" s="38"/>
      <c r="H40" s="38"/>
    </row>
    <row r="41" spans="1:8" ht="21" x14ac:dyDescent="0.35">
      <c r="A41" s="38"/>
      <c r="B41" s="38"/>
      <c r="C41" s="38"/>
      <c r="D41" s="38"/>
      <c r="E41" s="54" t="s">
        <v>63</v>
      </c>
      <c r="F41" s="53">
        <f>1-(C38/C32)</f>
        <v>0.31034482758620685</v>
      </c>
      <c r="G41" s="38"/>
      <c r="H41" s="38"/>
    </row>
    <row r="42" spans="1:8" ht="21" x14ac:dyDescent="0.35">
      <c r="A42" s="38"/>
      <c r="B42" s="38"/>
      <c r="C42" s="55"/>
      <c r="D42" s="55"/>
      <c r="E42" s="55"/>
      <c r="F42" s="54" t="s">
        <v>53</v>
      </c>
      <c r="G42" s="38"/>
      <c r="H42" s="3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</sheetData>
  <mergeCells count="3">
    <mergeCell ref="C5:G5"/>
    <mergeCell ref="C32:F32"/>
    <mergeCell ref="C38:F38"/>
  </mergeCells>
  <conditionalFormatting sqref="F13:F16">
    <cfRule type="expression" dxfId="1" priority="2">
      <formula>$E$13&lt;&gt;""</formula>
    </cfRule>
  </conditionalFormatting>
  <conditionalFormatting sqref="F23:F26">
    <cfRule type="expression" dxfId="0" priority="1">
      <formula>$G$23&lt;&gt;""</formula>
    </cfRule>
  </conditionalFormatting>
  <dataValidations count="1">
    <dataValidation type="whole" operator="greaterThan" allowBlank="1" showInputMessage="1" showErrorMessage="1" sqref="C21">
      <formula1>0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 altText="vyberte systém, jak jsou dnes Vaše barevné výkresy účtovány">
                <anchor moveWithCells="1">
                  <from>
                    <xdr:col>2</xdr:col>
                    <xdr:colOff>0</xdr:colOff>
                    <xdr:row>8</xdr:row>
                    <xdr:rowOff>228600</xdr:rowOff>
                  </from>
                  <to>
                    <xdr:col>3</xdr:col>
                    <xdr:colOff>28575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 altText="vyberte systém, jak jsou dnes Vaše černobílé výkresy účtovány">
                <anchor moveWithCells="1">
                  <from>
                    <xdr:col>5</xdr:col>
                    <xdr:colOff>19050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autoFill="0" autoPict="0" macro="[0]!Zpět">
                <anchor>
                  <from>
                    <xdr:col>6</xdr:col>
                    <xdr:colOff>190500</xdr:colOff>
                    <xdr:row>40</xdr:row>
                    <xdr:rowOff>57150</xdr:rowOff>
                  </from>
                  <to>
                    <xdr:col>6</xdr:col>
                    <xdr:colOff>923925</xdr:colOff>
                    <xdr:row>41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U26"/>
  <sheetViews>
    <sheetView workbookViewId="0">
      <selection activeCell="C24" sqref="C24"/>
    </sheetView>
  </sheetViews>
  <sheetFormatPr defaultRowHeight="15" x14ac:dyDescent="0.25"/>
  <cols>
    <col min="1" max="1" width="5.140625" customWidth="1"/>
    <col min="2" max="2" width="31.7109375" customWidth="1"/>
    <col min="3" max="3" width="17.7109375" bestFit="1" customWidth="1"/>
    <col min="4" max="4" width="11.85546875" bestFit="1" customWidth="1"/>
    <col min="5" max="5" width="25.7109375" bestFit="1" customWidth="1"/>
    <col min="6" max="6" width="30.5703125" bestFit="1" customWidth="1"/>
    <col min="7" max="7" width="17.7109375" bestFit="1" customWidth="1"/>
    <col min="8" max="8" width="14" customWidth="1"/>
    <col min="9" max="9" width="9.42578125" bestFit="1" customWidth="1"/>
    <col min="10" max="10" width="17.7109375" bestFit="1" customWidth="1"/>
    <col min="11" max="11" width="5.1406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8.75" x14ac:dyDescent="0.3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N2" t="s">
        <v>34</v>
      </c>
      <c r="P2">
        <v>2.9</v>
      </c>
    </row>
    <row r="3" spans="1:2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>
        <v>1</v>
      </c>
      <c r="M3" t="s">
        <v>32</v>
      </c>
      <c r="N3">
        <v>1</v>
      </c>
      <c r="S3">
        <v>1000</v>
      </c>
      <c r="T3" t="s">
        <v>2</v>
      </c>
      <c r="U3">
        <f>S3*Kalkulace!C12</f>
        <v>7000</v>
      </c>
    </row>
    <row r="4" spans="1:21" ht="18.75" x14ac:dyDescent="0.3">
      <c r="A4" s="8">
        <v>1</v>
      </c>
      <c r="B4" s="9" t="s">
        <v>5</v>
      </c>
      <c r="C4" s="10">
        <v>7</v>
      </c>
      <c r="D4" s="11" t="s">
        <v>2</v>
      </c>
      <c r="E4" s="11" t="str">
        <f>CONCATENATE($B$4," ",D4)</f>
        <v>Cena za barevný výtisk A4</v>
      </c>
      <c r="F4" s="12" t="s">
        <v>6</v>
      </c>
      <c r="G4" s="10">
        <v>2.96875</v>
      </c>
      <c r="H4" s="13" t="s">
        <v>2</v>
      </c>
      <c r="I4" s="6">
        <v>2.96875</v>
      </c>
      <c r="K4" s="1"/>
      <c r="L4">
        <v>2</v>
      </c>
      <c r="M4" t="s">
        <v>31</v>
      </c>
      <c r="N4">
        <v>0.16</v>
      </c>
      <c r="R4">
        <f>N4*P2</f>
        <v>0.46399999999999997</v>
      </c>
      <c r="S4">
        <f>2.1*2.97*S3</f>
        <v>6237.0000000000009</v>
      </c>
      <c r="T4" t="s">
        <v>35</v>
      </c>
    </row>
    <row r="5" spans="1:21" ht="18.75" x14ac:dyDescent="0.3">
      <c r="A5" s="14">
        <v>2</v>
      </c>
      <c r="B5" s="3"/>
      <c r="C5" s="5">
        <v>11.2</v>
      </c>
      <c r="D5" s="3" t="s">
        <v>3</v>
      </c>
      <c r="E5" s="3" t="str">
        <f t="shared" ref="E5:E6" si="0">CONCATENATE($B$4," ",D5)</f>
        <v>Cena za barevný výtisk dm2</v>
      </c>
      <c r="F5" s="3" t="s">
        <v>7</v>
      </c>
      <c r="G5" s="5">
        <v>0.47499999999999998</v>
      </c>
      <c r="H5" s="15" t="s">
        <v>3</v>
      </c>
      <c r="I5" s="6">
        <v>0.47499999999999998</v>
      </c>
      <c r="K5" s="1"/>
      <c r="L5">
        <v>3</v>
      </c>
      <c r="M5" t="s">
        <v>33</v>
      </c>
      <c r="N5">
        <v>16</v>
      </c>
      <c r="R5">
        <f>P2*N5</f>
        <v>46.4</v>
      </c>
      <c r="S5">
        <f>S4/100</f>
        <v>62.370000000000012</v>
      </c>
      <c r="T5" t="s">
        <v>36</v>
      </c>
    </row>
    <row r="6" spans="1:21" ht="18.75" x14ac:dyDescent="0.3">
      <c r="A6" s="14">
        <v>3</v>
      </c>
      <c r="B6" s="3"/>
      <c r="C6" s="5">
        <v>112</v>
      </c>
      <c r="D6" s="3" t="s">
        <v>4</v>
      </c>
      <c r="E6" s="3" t="str">
        <f t="shared" si="0"/>
        <v>Cena za barevný výtisk m2</v>
      </c>
      <c r="F6" s="3" t="s">
        <v>8</v>
      </c>
      <c r="G6" s="5">
        <v>47.5</v>
      </c>
      <c r="H6" s="15" t="s">
        <v>4</v>
      </c>
      <c r="I6" s="6">
        <v>47.5</v>
      </c>
      <c r="K6" s="1"/>
      <c r="L6">
        <v>4</v>
      </c>
      <c r="M6" t="s">
        <v>40</v>
      </c>
    </row>
    <row r="7" spans="1:21" ht="18.75" x14ac:dyDescent="0.3">
      <c r="A7" s="14">
        <v>4</v>
      </c>
      <c r="B7" s="3"/>
      <c r="C7" s="4"/>
      <c r="D7" s="3"/>
      <c r="E7" s="3"/>
      <c r="F7" s="3" t="s">
        <v>9</v>
      </c>
      <c r="G7" s="5">
        <f>Kalkulace!F12</f>
        <v>2.5</v>
      </c>
      <c r="H7" s="15" t="s">
        <v>19</v>
      </c>
      <c r="I7" s="31">
        <v>0.75</v>
      </c>
      <c r="J7" s="7">
        <f>(100/0.914)*G7</f>
        <v>273.52297592997809</v>
      </c>
      <c r="K7" s="1"/>
      <c r="L7">
        <v>5</v>
      </c>
      <c r="M7" t="s">
        <v>37</v>
      </c>
    </row>
    <row r="8" spans="1:21" ht="18.75" x14ac:dyDescent="0.3">
      <c r="A8" s="14"/>
      <c r="B8" s="3"/>
      <c r="C8" s="4"/>
      <c r="D8" s="3"/>
      <c r="E8" s="3"/>
      <c r="F8" s="3" t="s">
        <v>10</v>
      </c>
      <c r="G8" s="5">
        <f>Kalkulace!F13</f>
        <v>0.61</v>
      </c>
      <c r="H8" s="15" t="s">
        <v>20</v>
      </c>
      <c r="I8" s="31">
        <v>0.6055508830950378</v>
      </c>
      <c r="J8" s="7">
        <f>(100/0.841)*G8</f>
        <v>72.532699167657555</v>
      </c>
      <c r="K8" s="1"/>
      <c r="L8">
        <v>6</v>
      </c>
      <c r="M8" t="s">
        <v>38</v>
      </c>
    </row>
    <row r="9" spans="1:21" ht="18.75" x14ac:dyDescent="0.3">
      <c r="A9" s="14"/>
      <c r="B9" s="3"/>
      <c r="C9" s="3"/>
      <c r="D9" s="3"/>
      <c r="E9" s="3"/>
      <c r="F9" s="3" t="s">
        <v>11</v>
      </c>
      <c r="G9" s="5">
        <f>Kalkulace!F14</f>
        <v>0.5</v>
      </c>
      <c r="H9" s="15" t="s">
        <v>21</v>
      </c>
      <c r="I9" s="31">
        <v>0.49940546967895366</v>
      </c>
      <c r="J9" s="7">
        <f>(100/0.594)*G9</f>
        <v>84.17508417508418</v>
      </c>
      <c r="K9" s="1"/>
      <c r="L9">
        <v>7</v>
      </c>
      <c r="M9" t="s">
        <v>41</v>
      </c>
    </row>
    <row r="10" spans="1:21" ht="18.75" x14ac:dyDescent="0.3">
      <c r="A10" s="14"/>
      <c r="B10" s="16"/>
      <c r="C10" s="16"/>
      <c r="D10" s="16"/>
      <c r="E10" s="16"/>
      <c r="F10" s="16" t="s">
        <v>12</v>
      </c>
      <c r="G10" s="5">
        <f>Kalkulace!F15</f>
        <v>0.4</v>
      </c>
      <c r="H10" s="15" t="s">
        <v>22</v>
      </c>
      <c r="I10" s="31">
        <v>0.40404040404040403</v>
      </c>
      <c r="J10" s="7">
        <f>(100/0.42)*G10</f>
        <v>95.238095238095241</v>
      </c>
      <c r="K10" s="1"/>
      <c r="L10">
        <v>8</v>
      </c>
      <c r="M10" t="s">
        <v>39</v>
      </c>
    </row>
    <row r="11" spans="1:21" ht="19.5" thickBot="1" x14ac:dyDescent="0.35">
      <c r="A11" s="17"/>
      <c r="B11" s="18"/>
      <c r="C11" s="18"/>
      <c r="D11" s="18"/>
      <c r="E11" s="18"/>
      <c r="F11" s="18" t="s">
        <v>13</v>
      </c>
      <c r="G11" s="19">
        <f>Kalkulace!F16</f>
        <v>0.31</v>
      </c>
      <c r="H11" s="20" t="s">
        <v>23</v>
      </c>
      <c r="I11" s="32">
        <v>0.30952380952380953</v>
      </c>
      <c r="J11" s="7">
        <f>(100/0.297)*G11</f>
        <v>104.37710437710439</v>
      </c>
      <c r="K11" s="1"/>
    </row>
    <row r="12" spans="1:21" ht="15.75" thickBot="1" x14ac:dyDescent="0.3">
      <c r="J12" s="7"/>
    </row>
    <row r="13" spans="1:21" x14ac:dyDescent="0.25">
      <c r="A13" s="21"/>
      <c r="B13" s="22" t="s">
        <v>24</v>
      </c>
      <c r="C13" s="22"/>
      <c r="D13" s="22"/>
      <c r="E13" s="22" t="s">
        <v>25</v>
      </c>
      <c r="F13" s="23"/>
      <c r="G13" s="30" t="s">
        <v>47</v>
      </c>
      <c r="O13" t="s">
        <v>2</v>
      </c>
      <c r="P13" t="s">
        <v>42</v>
      </c>
      <c r="Q13" t="s">
        <v>43</v>
      </c>
      <c r="R13" t="s">
        <v>46</v>
      </c>
    </row>
    <row r="14" spans="1:21" x14ac:dyDescent="0.25">
      <c r="A14" s="24"/>
      <c r="B14" s="16"/>
      <c r="C14" s="16"/>
      <c r="D14" s="16">
        <v>914</v>
      </c>
      <c r="E14" s="16">
        <f>Kalkulace!F12*Kalkulace!F22</f>
        <v>187.5</v>
      </c>
      <c r="F14" s="25">
        <f>Kalkulace!F12*Kalkulace!F22</f>
        <v>187.5</v>
      </c>
      <c r="G14" s="33">
        <f>(Kalkulace!F22*Kalkulace!$C$21*(D14/10))/623.7</f>
        <v>109.9086099086099</v>
      </c>
      <c r="N14" t="s">
        <v>2</v>
      </c>
      <c r="O14" s="30" t="s">
        <v>45</v>
      </c>
      <c r="P14">
        <v>6.2370000000000001</v>
      </c>
      <c r="Q14">
        <f>1/16</f>
        <v>6.25E-2</v>
      </c>
    </row>
    <row r="15" spans="1:21" x14ac:dyDescent="0.25">
      <c r="A15" s="24"/>
      <c r="B15" s="16"/>
      <c r="C15" s="16"/>
      <c r="D15" s="16">
        <v>841</v>
      </c>
      <c r="E15" s="26">
        <f>IF(Kalkulace!$F$10=4,F15,0)</f>
        <v>0</v>
      </c>
      <c r="F15" s="25">
        <f>Kalkulace!F13*Kalkulace!F23</f>
        <v>122</v>
      </c>
      <c r="G15" s="33">
        <f>(Kalkulace!F23*Kalkulace!$C$21*(D15/10))/623.7</f>
        <v>269.68093634760299</v>
      </c>
      <c r="N15" t="s">
        <v>42</v>
      </c>
      <c r="O15">
        <f>1/P14</f>
        <v>0.160333493666827</v>
      </c>
      <c r="P15" s="30" t="s">
        <v>45</v>
      </c>
      <c r="Q15">
        <v>0.01</v>
      </c>
    </row>
    <row r="16" spans="1:21" x14ac:dyDescent="0.25">
      <c r="A16" s="24"/>
      <c r="B16" s="16"/>
      <c r="C16" s="16"/>
      <c r="D16" s="16">
        <v>594</v>
      </c>
      <c r="E16" s="26">
        <f>IF(Kalkulace!$F$10=4,F16,0)</f>
        <v>0</v>
      </c>
      <c r="F16" s="25">
        <f>Kalkulace!F14*Kalkulace!F24</f>
        <v>150</v>
      </c>
      <c r="G16" s="33">
        <f>(Kalkulace!F24*Kalkulace!$C$21*(D16/10))/623.7</f>
        <v>285.71428571428567</v>
      </c>
      <c r="N16" t="s">
        <v>43</v>
      </c>
      <c r="O16">
        <v>16</v>
      </c>
      <c r="P16">
        <v>100</v>
      </c>
      <c r="Q16" s="30" t="s">
        <v>45</v>
      </c>
    </row>
    <row r="17" spans="1:18" x14ac:dyDescent="0.25">
      <c r="A17" s="24"/>
      <c r="B17" s="16"/>
      <c r="C17" s="16"/>
      <c r="D17" s="3">
        <v>420</v>
      </c>
      <c r="E17" s="26">
        <f>IF(Kalkulace!$F$10=4,F17,0)</f>
        <v>0</v>
      </c>
      <c r="F17" s="25">
        <f>Kalkulace!F15*Kalkulace!F25</f>
        <v>160</v>
      </c>
      <c r="G17" s="33">
        <f>(Kalkulace!F25*Kalkulace!$C$21*(D17/10))/623.7</f>
        <v>269.36026936026934</v>
      </c>
      <c r="N17" t="s">
        <v>44</v>
      </c>
      <c r="R17" s="30" t="s">
        <v>45</v>
      </c>
    </row>
    <row r="18" spans="1:18" x14ac:dyDescent="0.25">
      <c r="A18" s="24"/>
      <c r="B18" s="16"/>
      <c r="C18" s="16"/>
      <c r="D18" s="3">
        <v>297</v>
      </c>
      <c r="E18" s="26">
        <f>IF(Kalkulace!$F$10=4,F18,0)</f>
        <v>0</v>
      </c>
      <c r="F18" s="25">
        <f>Kalkulace!F16*Kalkulace!F26</f>
        <v>155</v>
      </c>
      <c r="G18" s="33">
        <f>(Kalkulace!F26*Kalkulace!$C$21*(D18/10))/623.7</f>
        <v>238.09523809523807</v>
      </c>
    </row>
    <row r="19" spans="1:18" x14ac:dyDescent="0.25">
      <c r="A19" s="24">
        <v>1</v>
      </c>
      <c r="B19" s="35">
        <f>Kalkulace!C12*Kalkulace!C22</f>
        <v>175</v>
      </c>
      <c r="C19" s="16"/>
      <c r="D19" s="16"/>
      <c r="E19" s="35">
        <f>SUM(E14:E18)</f>
        <v>187.5</v>
      </c>
      <c r="F19" s="27"/>
      <c r="G19" s="34">
        <f>SUM(G14:G18)</f>
        <v>1172.7593394260059</v>
      </c>
    </row>
    <row r="20" spans="1:18" x14ac:dyDescent="0.25">
      <c r="A20" s="24">
        <f>Kalkulace!C21</f>
        <v>10</v>
      </c>
      <c r="B20" s="26">
        <f>A20*B19</f>
        <v>1750</v>
      </c>
      <c r="C20" s="16"/>
      <c r="D20" s="16"/>
      <c r="E20" s="26">
        <f>A20*E19</f>
        <v>1875</v>
      </c>
      <c r="F20" s="27"/>
      <c r="G20" s="7">
        <f>E20/G19</f>
        <v>1.5987934923781533</v>
      </c>
    </row>
    <row r="21" spans="1:18" ht="15.75" thickBot="1" x14ac:dyDescent="0.3">
      <c r="A21" s="28"/>
      <c r="B21" s="18"/>
      <c r="C21" s="18"/>
      <c r="D21" s="18"/>
      <c r="E21" s="18"/>
      <c r="F21" s="29"/>
    </row>
    <row r="23" spans="1:18" ht="17.25" x14ac:dyDescent="0.25">
      <c r="A23" t="s">
        <v>48</v>
      </c>
      <c r="C23" t="s">
        <v>49</v>
      </c>
      <c r="D23" t="s">
        <v>50</v>
      </c>
      <c r="E23" t="s">
        <v>51</v>
      </c>
      <c r="F23" t="s">
        <v>52</v>
      </c>
    </row>
    <row r="24" spans="1:18" x14ac:dyDescent="0.25">
      <c r="A24">
        <v>1</v>
      </c>
      <c r="B24" s="3" t="s">
        <v>2</v>
      </c>
      <c r="C24" s="6">
        <f>Kalkulace!F12</f>
        <v>2.5</v>
      </c>
      <c r="D24" s="7">
        <f>Kalkulace!F12*6.237</f>
        <v>15.592500000000001</v>
      </c>
      <c r="E24" s="7">
        <f>Kalkulace!F12/16</f>
        <v>0.15625</v>
      </c>
      <c r="F24" s="7">
        <f>G20</f>
        <v>1.5987934923781533</v>
      </c>
    </row>
    <row r="25" spans="1:18" ht="17.25" x14ac:dyDescent="0.25">
      <c r="A25">
        <v>2</v>
      </c>
      <c r="B25" s="3" t="s">
        <v>3</v>
      </c>
      <c r="C25" s="7">
        <f>C24/6.237</f>
        <v>0.40083373416706747</v>
      </c>
      <c r="D25" s="7">
        <f>D24/6.237</f>
        <v>2.5</v>
      </c>
      <c r="E25" s="7">
        <f>Kalkulace!F12/100</f>
        <v>2.5000000000000001E-2</v>
      </c>
      <c r="F25" s="7">
        <f>G20/6.237</f>
        <v>0.25634014628477686</v>
      </c>
    </row>
    <row r="26" spans="1:18" ht="17.25" x14ac:dyDescent="0.25">
      <c r="A26">
        <v>3</v>
      </c>
      <c r="B26" s="3" t="s">
        <v>4</v>
      </c>
      <c r="C26" s="7">
        <f>C24*16</f>
        <v>40</v>
      </c>
      <c r="D26" s="7">
        <f>D25*100</f>
        <v>250</v>
      </c>
      <c r="E26" s="7">
        <f>Kalkulace!F12</f>
        <v>2.5</v>
      </c>
      <c r="F26" s="7">
        <f>G20*16</f>
        <v>25.580695878050452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</vt:lpstr>
      <vt:lpstr>Kalkulace</vt:lpstr>
      <vt:lpstr>Výpočty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 IT</dc:creator>
  <cp:lastModifiedBy>Benefit IT</cp:lastModifiedBy>
  <cp:lastPrinted>2014-05-26T17:14:38Z</cp:lastPrinted>
  <dcterms:created xsi:type="dcterms:W3CDTF">2014-05-22T17:59:51Z</dcterms:created>
  <dcterms:modified xsi:type="dcterms:W3CDTF">2015-05-12T22:09:52Z</dcterms:modified>
</cp:coreProperties>
</file>